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360" windowWidth="18816" windowHeight="7056" activeTab="1"/>
  </bookViews>
  <sheets>
    <sheet name="past DCF" sheetId="5" r:id="rId1"/>
    <sheet name="future DCF" sheetId="9" r:id="rId2"/>
    <sheet name="IPP" sheetId="10" r:id="rId3"/>
  </sheets>
  <calcPr calcId="145621"/>
</workbook>
</file>

<file path=xl/calcChain.xml><?xml version="1.0" encoding="utf-8"?>
<calcChain xmlns="http://schemas.openxmlformats.org/spreadsheetml/2006/main">
  <c r="B33" i="5" l="1"/>
  <c r="M28" i="5"/>
  <c r="M41" i="5" l="1"/>
  <c r="A41" i="5"/>
  <c r="A38" i="5"/>
  <c r="A40" i="5"/>
  <c r="A39" i="5"/>
  <c r="B7" i="10"/>
  <c r="M39" i="5" l="1"/>
  <c r="B6" i="9" l="1"/>
  <c r="B1" i="5"/>
  <c r="S10" i="9"/>
  <c r="S15" i="9"/>
  <c r="C17" i="5"/>
  <c r="D16" i="5"/>
  <c r="E16" i="5" s="1"/>
  <c r="F16" i="5" s="1"/>
  <c r="G16" i="5" s="1"/>
  <c r="H16" i="5" s="1"/>
  <c r="I16" i="5" s="1"/>
  <c r="J16" i="5" s="1"/>
  <c r="K16" i="5" s="1"/>
  <c r="L16" i="5" s="1"/>
  <c r="M16" i="5" s="1"/>
  <c r="M17" i="5" s="1"/>
  <c r="M40" i="5" s="1"/>
  <c r="C7" i="9"/>
  <c r="D7" i="9" s="1"/>
  <c r="E7" i="9" s="1"/>
  <c r="F7" i="9" s="1"/>
  <c r="G7" i="9" s="1"/>
  <c r="H7" i="9" s="1"/>
  <c r="I7" i="9" s="1"/>
  <c r="J7" i="9" s="1"/>
  <c r="K7" i="9" s="1"/>
  <c r="L7" i="9" s="1"/>
  <c r="M7" i="9" s="1"/>
  <c r="N7" i="9" s="1"/>
  <c r="O7" i="9" s="1"/>
  <c r="P7" i="9" s="1"/>
  <c r="Q7" i="9" s="1"/>
  <c r="R7" i="9" s="1"/>
  <c r="S7" i="9" s="1"/>
  <c r="B21" i="5"/>
  <c r="E17" i="5" l="1"/>
  <c r="F17" i="5"/>
  <c r="J17" i="5"/>
  <c r="I17" i="5"/>
  <c r="G17" i="5"/>
  <c r="K17" i="5"/>
  <c r="D17" i="5"/>
  <c r="H17" i="5"/>
  <c r="L17" i="5"/>
  <c r="B19" i="9" l="1"/>
  <c r="C19" i="9" s="1"/>
  <c r="A2" i="9"/>
  <c r="L9" i="9"/>
  <c r="Q9" i="9" s="1"/>
  <c r="D5" i="9"/>
  <c r="E5" i="9" s="1"/>
  <c r="F5" i="9" s="1"/>
  <c r="G5" i="9" s="1"/>
  <c r="H5" i="9" s="1"/>
  <c r="I5" i="9" s="1"/>
  <c r="J5" i="9" s="1"/>
  <c r="K5" i="9" s="1"/>
  <c r="L5" i="9" s="1"/>
  <c r="M5" i="9" s="1"/>
  <c r="N5" i="9" s="1"/>
  <c r="C4" i="9"/>
  <c r="D4" i="9" s="1"/>
  <c r="E4" i="9" s="1"/>
  <c r="F4" i="9" s="1"/>
  <c r="G4" i="9" s="1"/>
  <c r="H4" i="9" s="1"/>
  <c r="I4" i="9" s="1"/>
  <c r="J4" i="9" s="1"/>
  <c r="K4" i="9" s="1"/>
  <c r="L4" i="9" s="1"/>
  <c r="M4" i="9" s="1"/>
  <c r="N4" i="9" s="1"/>
  <c r="O4" i="9" l="1"/>
  <c r="P4" i="9" s="1"/>
  <c r="Q4" i="9" s="1"/>
  <c r="O5" i="9"/>
  <c r="B8" i="9"/>
  <c r="B11" i="9" s="1"/>
  <c r="R4" i="9"/>
  <c r="S4" i="9" s="1"/>
  <c r="C6" i="9"/>
  <c r="C8" i="9" s="1"/>
  <c r="C11" i="9" s="1"/>
  <c r="D19" i="9"/>
  <c r="E19" i="9" s="1"/>
  <c r="F19" i="9" s="1"/>
  <c r="G19" i="9" s="1"/>
  <c r="H19" i="9" s="1"/>
  <c r="I19" i="9" s="1"/>
  <c r="J19" i="9" s="1"/>
  <c r="K19" i="9" s="1"/>
  <c r="L19" i="9" s="1"/>
  <c r="M19" i="9" s="1"/>
  <c r="N19" i="9" s="1"/>
  <c r="O19" i="9" s="1"/>
  <c r="C20" i="9"/>
  <c r="D6" i="9" l="1"/>
  <c r="E6" i="9" s="1"/>
  <c r="P5" i="9"/>
  <c r="Q5" i="9" s="1"/>
  <c r="R5" i="9" s="1"/>
  <c r="S5" i="9" s="1"/>
  <c r="P19" i="9"/>
  <c r="Q19" i="9" s="1"/>
  <c r="R19" i="9" s="1"/>
  <c r="S19" i="9" s="1"/>
  <c r="D20" i="9"/>
  <c r="E20" i="9" s="1"/>
  <c r="F20" i="9" s="1"/>
  <c r="G20" i="9" s="1"/>
  <c r="H20" i="9" s="1"/>
  <c r="I20" i="9" s="1"/>
  <c r="J20" i="9" s="1"/>
  <c r="K20" i="9" s="1"/>
  <c r="L20" i="9" s="1"/>
  <c r="M20" i="9" s="1"/>
  <c r="N20" i="9" s="1"/>
  <c r="O20" i="9" s="1"/>
  <c r="B13" i="9"/>
  <c r="B14" i="9" s="1"/>
  <c r="C13" i="9"/>
  <c r="C14" i="9" s="1"/>
  <c r="C16" i="9" s="1"/>
  <c r="P20" i="9" l="1"/>
  <c r="Q20" i="9" s="1"/>
  <c r="R20" i="9" s="1"/>
  <c r="S20" i="9" s="1"/>
  <c r="D8" i="9"/>
  <c r="D11" i="9" s="1"/>
  <c r="E8" i="9"/>
  <c r="F6" i="9"/>
  <c r="D13" i="9" l="1"/>
  <c r="D14" i="9" s="1"/>
  <c r="D16" i="9" s="1"/>
  <c r="G6" i="9"/>
  <c r="F8" i="9"/>
  <c r="E11" i="9"/>
  <c r="E13" i="9" l="1"/>
  <c r="E14" i="9" s="1"/>
  <c r="E16" i="9" s="1"/>
  <c r="F11" i="9"/>
  <c r="G8" i="9"/>
  <c r="H6" i="9"/>
  <c r="F13" i="9" l="1"/>
  <c r="F14" i="9" s="1"/>
  <c r="F16" i="9" s="1"/>
  <c r="I6" i="9"/>
  <c r="H8" i="9"/>
  <c r="G11" i="9"/>
  <c r="G13" i="9" l="1"/>
  <c r="G14" i="9" s="1"/>
  <c r="G16" i="9" s="1"/>
  <c r="H11" i="9"/>
  <c r="I8" i="9"/>
  <c r="J6" i="9"/>
  <c r="H13" i="9" l="1"/>
  <c r="H14" i="9" s="1"/>
  <c r="H16" i="9" s="1"/>
  <c r="I11" i="9"/>
  <c r="K6" i="9"/>
  <c r="J8" i="9"/>
  <c r="I13" i="9" l="1"/>
  <c r="I14" i="9" s="1"/>
  <c r="I16" i="9" s="1"/>
  <c r="K8" i="9"/>
  <c r="L6" i="9"/>
  <c r="M6" i="9" s="1"/>
  <c r="J11" i="9"/>
  <c r="M8" i="9" l="1"/>
  <c r="M11" i="9" s="1"/>
  <c r="M13" i="9" s="1"/>
  <c r="M14" i="9" s="1"/>
  <c r="M16" i="9" s="1"/>
  <c r="N6" i="9"/>
  <c r="J13" i="9"/>
  <c r="J14" i="9" s="1"/>
  <c r="J16" i="9" s="1"/>
  <c r="L8" i="9"/>
  <c r="K11" i="9"/>
  <c r="N8" i="9" l="1"/>
  <c r="N11" i="9" s="1"/>
  <c r="N13" i="9" s="1"/>
  <c r="N14" i="9" s="1"/>
  <c r="N16" i="9" s="1"/>
  <c r="O6" i="9"/>
  <c r="K13" i="9"/>
  <c r="K14" i="9" s="1"/>
  <c r="K16" i="9" s="1"/>
  <c r="L11" i="9"/>
  <c r="P6" i="9" l="1"/>
  <c r="O8" i="9"/>
  <c r="O11" i="9" s="1"/>
  <c r="L13" i="9"/>
  <c r="L14" i="9" s="1"/>
  <c r="L16" i="9" s="1"/>
  <c r="O13" i="9" l="1"/>
  <c r="O14" i="9" s="1"/>
  <c r="O16" i="9" s="1"/>
  <c r="P8" i="9"/>
  <c r="P11" i="9" s="1"/>
  <c r="Q6" i="9"/>
  <c r="P13" i="9" l="1"/>
  <c r="P14" i="9" s="1"/>
  <c r="P16" i="9" s="1"/>
  <c r="Q8" i="9"/>
  <c r="Q11" i="9" s="1"/>
  <c r="Q13" i="9" s="1"/>
  <c r="Q14" i="9" s="1"/>
  <c r="Q16" i="9" s="1"/>
  <c r="R6" i="9"/>
  <c r="R8" i="9" l="1"/>
  <c r="R11" i="9" s="1"/>
  <c r="R13" i="9" s="1"/>
  <c r="R14" i="9" s="1"/>
  <c r="R16" i="9" s="1"/>
  <c r="S6" i="9"/>
  <c r="S8" i="9" s="1"/>
  <c r="S11" i="9" s="1"/>
  <c r="S13" i="9" s="1"/>
  <c r="S14" i="9" s="1"/>
  <c r="S16" i="9" s="1"/>
  <c r="C21" i="5" l="1"/>
  <c r="D21" i="5" s="1"/>
  <c r="E21" i="5" s="1"/>
  <c r="F21" i="5" s="1"/>
  <c r="G21" i="5" s="1"/>
  <c r="H21" i="5" s="1"/>
  <c r="I21" i="5" s="1"/>
  <c r="J21" i="5" s="1"/>
  <c r="K21" i="5" s="1"/>
  <c r="L21" i="5" s="1"/>
  <c r="M21" i="5" s="1"/>
  <c r="C8" i="5" l="1"/>
  <c r="D8" i="5" s="1"/>
  <c r="E8" i="5" s="1"/>
  <c r="F8" i="5" s="1"/>
  <c r="C17" i="9" l="1"/>
  <c r="L28" i="5"/>
  <c r="G8" i="5"/>
  <c r="H8" i="5" s="1"/>
  <c r="I8" i="5" s="1"/>
  <c r="K28" i="5" l="1"/>
  <c r="L41" i="5"/>
  <c r="L39" i="5"/>
  <c r="L40" i="5"/>
  <c r="D17" i="9"/>
  <c r="C20" i="5"/>
  <c r="J8" i="5"/>
  <c r="K8" i="5" s="1"/>
  <c r="L8" i="5" s="1"/>
  <c r="J28" i="5" l="1"/>
  <c r="K41" i="5"/>
  <c r="K39" i="5"/>
  <c r="K40" i="5"/>
  <c r="E17" i="9"/>
  <c r="I28" i="5" l="1"/>
  <c r="J41" i="5"/>
  <c r="J39" i="5"/>
  <c r="J40" i="5"/>
  <c r="F17" i="9"/>
  <c r="H28" i="5" l="1"/>
  <c r="I41" i="5"/>
  <c r="I39" i="5"/>
  <c r="I40" i="5"/>
  <c r="G17" i="9"/>
  <c r="G28" i="5" l="1"/>
  <c r="H41" i="5"/>
  <c r="H39" i="5"/>
  <c r="H40" i="5"/>
  <c r="H17" i="9"/>
  <c r="F28" i="5" l="1"/>
  <c r="G41" i="5"/>
  <c r="G39" i="5"/>
  <c r="G40" i="5"/>
  <c r="I17" i="9"/>
  <c r="E28" i="5" l="1"/>
  <c r="F41" i="5"/>
  <c r="F39" i="5"/>
  <c r="F40" i="5"/>
  <c r="J17" i="9"/>
  <c r="D28" i="5" l="1"/>
  <c r="E41" i="5"/>
  <c r="E39" i="5"/>
  <c r="E40" i="5"/>
  <c r="K17" i="9"/>
  <c r="D39" i="5" l="1"/>
  <c r="D41" i="5"/>
  <c r="D40" i="5"/>
  <c r="C28" i="5"/>
  <c r="L17" i="9"/>
  <c r="C41" i="5" l="1"/>
  <c r="B41" i="5" s="1"/>
  <c r="C39" i="5"/>
  <c r="B39" i="5" s="1"/>
  <c r="C40" i="5"/>
  <c r="B40" i="5" s="1"/>
  <c r="B42" i="5" s="1"/>
  <c r="B28" i="5"/>
  <c r="B38" i="5" s="1"/>
  <c r="M17" i="9"/>
  <c r="N17" i="9" l="1"/>
  <c r="O17" i="9" l="1"/>
  <c r="P17" i="9" l="1"/>
  <c r="Q17" i="9" l="1"/>
  <c r="S17" i="9" l="1"/>
  <c r="R17" i="9"/>
  <c r="B6" i="5"/>
  <c r="C9" i="5"/>
  <c r="D9" i="5" s="1"/>
  <c r="E9" i="5" s="1"/>
  <c r="F9" i="5" s="1"/>
  <c r="G9" i="5" s="1"/>
  <c r="H9" i="5" s="1"/>
  <c r="B10" i="5"/>
  <c r="B22" i="9" l="1"/>
  <c r="I9" i="5"/>
  <c r="J9" i="5" s="1"/>
  <c r="K9" i="5" s="1"/>
  <c r="L9" i="5" s="1"/>
  <c r="M9" i="5" s="1"/>
  <c r="M12" i="5" s="1"/>
  <c r="B14" i="5"/>
  <c r="B20" i="5" s="1"/>
  <c r="C10" i="5"/>
  <c r="C11" i="5" s="1"/>
  <c r="B22" i="5" l="1"/>
  <c r="B24" i="5" s="1"/>
  <c r="B30" i="5" s="1"/>
  <c r="N23" i="5" s="1"/>
  <c r="D10" i="5"/>
  <c r="D11" i="5" s="1"/>
  <c r="P17" i="5" l="1"/>
  <c r="P15" i="5"/>
  <c r="E10" i="5"/>
  <c r="E11" i="5" s="1"/>
  <c r="D20" i="5"/>
  <c r="B25" i="5"/>
  <c r="P18" i="5" l="1"/>
  <c r="F10" i="5"/>
  <c r="F11" i="5" s="1"/>
  <c r="E20" i="5"/>
  <c r="C22" i="5"/>
  <c r="C25" i="5" l="1"/>
  <c r="D22" i="5" s="1"/>
  <c r="C24" i="5"/>
  <c r="C30" i="5" s="1"/>
  <c r="G10" i="5"/>
  <c r="G11" i="5" s="1"/>
  <c r="F20" i="5"/>
  <c r="D24" i="5" l="1"/>
  <c r="D30" i="5" s="1"/>
  <c r="H10" i="5"/>
  <c r="H11" i="5" s="1"/>
  <c r="G20" i="5"/>
  <c r="D25" i="5"/>
  <c r="I10" i="5" l="1"/>
  <c r="I11" i="5" s="1"/>
  <c r="H20" i="5"/>
  <c r="E22" i="5"/>
  <c r="E24" i="5" l="1"/>
  <c r="E30" i="5" s="1"/>
  <c r="J10" i="5"/>
  <c r="J11" i="5" s="1"/>
  <c r="I20" i="5"/>
  <c r="E25" i="5"/>
  <c r="K10" i="5" l="1"/>
  <c r="K11" i="5" s="1"/>
  <c r="J20" i="5"/>
  <c r="F22" i="5"/>
  <c r="F24" i="5" l="1"/>
  <c r="F30" i="5" s="1"/>
  <c r="L10" i="5"/>
  <c r="L11" i="5" s="1"/>
  <c r="K20" i="5"/>
  <c r="F25" i="5"/>
  <c r="G22" i="5" s="1"/>
  <c r="G24" i="5" s="1"/>
  <c r="G30" i="5" s="1"/>
  <c r="M10" i="5" l="1"/>
  <c r="L20" i="5"/>
  <c r="G25" i="5"/>
  <c r="H22" i="5" s="1"/>
  <c r="H24" i="5" s="1"/>
  <c r="H30" i="5" s="1"/>
  <c r="M20" i="5" l="1"/>
  <c r="M11" i="5"/>
  <c r="H25" i="5"/>
  <c r="I22" i="5" s="1"/>
  <c r="I24" i="5" s="1"/>
  <c r="I30" i="5" s="1"/>
  <c r="I25" i="5" l="1"/>
  <c r="J22" i="5" s="1"/>
  <c r="J24" i="5" s="1"/>
  <c r="J30" i="5" s="1"/>
  <c r="J25" i="5" l="1"/>
  <c r="K22" i="5" l="1"/>
  <c r="K24" i="5" l="1"/>
  <c r="K30" i="5" s="1"/>
  <c r="K25" i="5"/>
  <c r="L22" i="5" l="1"/>
  <c r="L24" i="5" l="1"/>
  <c r="L30" i="5" s="1"/>
  <c r="L25" i="5"/>
  <c r="M22" i="5" s="1"/>
  <c r="M24" i="5" l="1"/>
  <c r="M30" i="5" s="1"/>
  <c r="B32" i="5" s="1"/>
  <c r="B35" i="5" s="1"/>
  <c r="M25" i="5"/>
</calcChain>
</file>

<file path=xl/comments1.xml><?xml version="1.0" encoding="utf-8"?>
<comments xmlns="http://schemas.openxmlformats.org/spreadsheetml/2006/main">
  <authors>
    <author>Tom</author>
  </authors>
  <commentList>
    <comment ref="A27" authorId="0">
      <text>
        <r>
          <rPr>
            <b/>
            <sz val="9"/>
            <color indexed="81"/>
            <rFont val="Tahoma"/>
            <family val="2"/>
          </rPr>
          <t>Tom:</t>
        </r>
        <r>
          <rPr>
            <sz val="9"/>
            <color indexed="81"/>
            <rFont val="Tahoma"/>
            <family val="2"/>
          </rPr>
          <t xml:space="preserve">
CZK environment
</t>
        </r>
      </text>
    </comment>
  </commentList>
</comments>
</file>

<file path=xl/sharedStrings.xml><?xml version="1.0" encoding="utf-8"?>
<sst xmlns="http://schemas.openxmlformats.org/spreadsheetml/2006/main" count="63" uniqueCount="58">
  <si>
    <t>EUR</t>
  </si>
  <si>
    <t>ROI</t>
  </si>
  <si>
    <t>Total cash flow</t>
  </si>
  <si>
    <t>Purchase</t>
  </si>
  <si>
    <t>Inflation</t>
  </si>
  <si>
    <t>Cumul. inflation</t>
  </si>
  <si>
    <t>Years of ownership</t>
  </si>
  <si>
    <t>Revenue growth rate</t>
  </si>
  <si>
    <t>EBIT</t>
  </si>
  <si>
    <t>Effective tax rate</t>
  </si>
  <si>
    <t>EBIT (1-t)</t>
  </si>
  <si>
    <t>Free cash flow</t>
  </si>
  <si>
    <t>Loss of prev. year</t>
  </si>
  <si>
    <t>Real cash flows</t>
  </si>
  <si>
    <t>Costs, incl. overhead</t>
  </si>
  <si>
    <t xml:space="preserve"> - Reinvestment</t>
  </si>
  <si>
    <t>Expected value of investment</t>
  </si>
  <si>
    <t>Purchased in</t>
  </si>
  <si>
    <t>check</t>
  </si>
  <si>
    <t>Expected profit</t>
  </si>
  <si>
    <t>Revenue from rent</t>
  </si>
  <si>
    <t>Cost of capital (WACC)</t>
  </si>
  <si>
    <t>Operating margin</t>
  </si>
  <si>
    <t>Operating income</t>
  </si>
  <si>
    <t>Efective tax rate</t>
  </si>
  <si>
    <t>Tax</t>
  </si>
  <si>
    <t>After tax operating income</t>
  </si>
  <si>
    <t>CF from crane sale</t>
  </si>
  <si>
    <t>- Reinvestment</t>
  </si>
  <si>
    <t>PV of FCF</t>
  </si>
  <si>
    <t>Cumulated CoC</t>
  </si>
  <si>
    <t>Value of crane</t>
  </si>
  <si>
    <t>Required return (ROI) above inflation</t>
  </si>
  <si>
    <t>Purchase price</t>
  </si>
  <si>
    <t>Last year</t>
  </si>
  <si>
    <t>interest expense</t>
  </si>
  <si>
    <t>Cost of revenue</t>
  </si>
  <si>
    <t>Revenue/rent</t>
  </si>
  <si>
    <t>Values to edit</t>
  </si>
  <si>
    <t>General repairs</t>
  </si>
  <si>
    <t>To be sold on</t>
  </si>
  <si>
    <t>Risk free rate</t>
  </si>
  <si>
    <t>Est market value now</t>
  </si>
  <si>
    <t>Est market value on exit (PV)</t>
  </si>
  <si>
    <t>Age</t>
  </si>
  <si>
    <t>Implied purchase price</t>
  </si>
  <si>
    <t>Price now</t>
  </si>
  <si>
    <t>koef</t>
  </si>
  <si>
    <t>where koef</t>
  </si>
  <si>
    <t>IPP</t>
  </si>
  <si>
    <t>For lower part: -4% to -6%</t>
  </si>
  <si>
    <t>For upper part -7% to -10%</t>
  </si>
  <si>
    <t>For bottom slewing cranes -6% to -10%</t>
  </si>
  <si>
    <t>Years</t>
  </si>
  <si>
    <t>PV of</t>
  </si>
  <si>
    <t>Sum</t>
  </si>
  <si>
    <t>Price of crane before tax</t>
  </si>
  <si>
    <t>reinvestment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</si>
</sst>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  <numFmt numFmtId="167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9" fontId="0" fillId="0" borderId="0" xfId="2" applyFont="1"/>
    <xf numFmtId="165" fontId="0" fillId="0" borderId="0" xfId="0" applyNumberFormat="1"/>
    <xf numFmtId="0" fontId="2" fillId="0" borderId="0" xfId="0" applyFont="1"/>
    <xf numFmtId="166" fontId="0" fillId="0" borderId="0" xfId="0" applyNumberFormat="1"/>
    <xf numFmtId="167" fontId="0" fillId="0" borderId="1" xfId="0" applyNumberFormat="1" applyBorder="1" applyAlignment="1">
      <alignment horizontal="center"/>
    </xf>
    <xf numFmtId="3" fontId="2" fillId="0" borderId="0" xfId="0" applyNumberFormat="1" applyFont="1"/>
    <xf numFmtId="0" fontId="0" fillId="0" borderId="1" xfId="0" applyBorder="1"/>
    <xf numFmtId="9" fontId="0" fillId="0" borderId="1" xfId="0" applyNumberFormat="1" applyBorder="1"/>
    <xf numFmtId="166" fontId="0" fillId="0" borderId="1" xfId="0" applyNumberFormat="1" applyBorder="1"/>
    <xf numFmtId="3" fontId="0" fillId="0" borderId="1" xfId="0" applyNumberFormat="1" applyBorder="1"/>
    <xf numFmtId="9" fontId="0" fillId="0" borderId="1" xfId="2" applyFont="1" applyBorder="1"/>
    <xf numFmtId="14" fontId="0" fillId="0" borderId="1" xfId="0" applyNumberFormat="1" applyBorder="1"/>
    <xf numFmtId="164" fontId="0" fillId="0" borderId="1" xfId="1" applyNumberFormat="1" applyFont="1" applyBorder="1"/>
    <xf numFmtId="164" fontId="0" fillId="0" borderId="1" xfId="1" quotePrefix="1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9" fontId="2" fillId="0" borderId="1" xfId="2" applyFont="1" applyBorder="1"/>
    <xf numFmtId="3" fontId="2" fillId="0" borderId="1" xfId="0" quotePrefix="1" applyNumberFormat="1" applyFont="1" applyBorder="1"/>
    <xf numFmtId="166" fontId="2" fillId="0" borderId="0" xfId="0" applyNumberFormat="1" applyFont="1"/>
    <xf numFmtId="3" fontId="2" fillId="2" borderId="1" xfId="0" applyNumberFormat="1" applyFont="1" applyFill="1" applyBorder="1"/>
    <xf numFmtId="0" fontId="2" fillId="2" borderId="0" xfId="0" applyFont="1" applyFill="1"/>
    <xf numFmtId="164" fontId="0" fillId="0" borderId="0" xfId="1" applyNumberFormat="1" applyFont="1" applyBorder="1"/>
    <xf numFmtId="164" fontId="3" fillId="0" borderId="1" xfId="1" applyNumberFormat="1" applyFont="1" applyBorder="1"/>
    <xf numFmtId="164" fontId="3" fillId="0" borderId="0" xfId="1" applyNumberFormat="1" applyFont="1"/>
    <xf numFmtId="14" fontId="3" fillId="0" borderId="0" xfId="0" applyNumberFormat="1" applyFont="1"/>
    <xf numFmtId="166" fontId="3" fillId="0" borderId="0" xfId="0" applyNumberFormat="1" applyFont="1"/>
    <xf numFmtId="9" fontId="3" fillId="0" borderId="1" xfId="2" applyFont="1" applyBorder="1"/>
    <xf numFmtId="166" fontId="3" fillId="0" borderId="1" xfId="2" applyNumberFormat="1" applyFont="1" applyBorder="1"/>
    <xf numFmtId="164" fontId="2" fillId="0" borderId="1" xfId="1" applyNumberFormat="1" applyFont="1" applyBorder="1"/>
    <xf numFmtId="164" fontId="0" fillId="0" borderId="1" xfId="0" applyNumberFormat="1" applyBorder="1"/>
    <xf numFmtId="43" fontId="0" fillId="0" borderId="1" xfId="1" applyNumberFormat="1" applyFont="1" applyBorder="1"/>
    <xf numFmtId="166" fontId="3" fillId="0" borderId="1" xfId="0" applyNumberFormat="1" applyFont="1" applyBorder="1"/>
    <xf numFmtId="0" fontId="3" fillId="0" borderId="0" xfId="0" applyFont="1"/>
    <xf numFmtId="3" fontId="3" fillId="0" borderId="1" xfId="0" applyNumberFormat="1" applyFont="1" applyBorder="1"/>
    <xf numFmtId="3" fontId="0" fillId="0" borderId="0" xfId="0" applyNumberFormat="1" applyFont="1"/>
    <xf numFmtId="164" fontId="2" fillId="0" borderId="1" xfId="0" applyNumberFormat="1" applyFont="1" applyBorder="1"/>
    <xf numFmtId="0" fontId="0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2"/>
  <sheetViews>
    <sheetView workbookViewId="0">
      <selection activeCell="B42" sqref="B42"/>
    </sheetView>
  </sheetViews>
  <sheetFormatPr defaultRowHeight="14.4" x14ac:dyDescent="0.3"/>
  <cols>
    <col min="1" max="1" width="25.44140625" bestFit="1" customWidth="1"/>
    <col min="2" max="2" width="12.5546875" bestFit="1" customWidth="1"/>
    <col min="3" max="14" width="8.88671875" customWidth="1"/>
  </cols>
  <sheetData>
    <row r="1" spans="1:16" ht="14.55" x14ac:dyDescent="0.35">
      <c r="A1" t="s">
        <v>33</v>
      </c>
      <c r="B1" s="26">
        <f>4585796/24.787</f>
        <v>185008.10908944206</v>
      </c>
    </row>
    <row r="2" spans="1:16" ht="14.55" x14ac:dyDescent="0.35">
      <c r="A2" t="s">
        <v>17</v>
      </c>
      <c r="B2" s="27">
        <v>39752</v>
      </c>
    </row>
    <row r="3" spans="1:16" ht="14.55" x14ac:dyDescent="0.35">
      <c r="A3" t="s">
        <v>40</v>
      </c>
      <c r="B3" s="27">
        <v>43646</v>
      </c>
    </row>
    <row r="4" spans="1:16" ht="14.55" x14ac:dyDescent="0.35">
      <c r="A4" t="s">
        <v>32</v>
      </c>
      <c r="B4" s="28">
        <v>0.03</v>
      </c>
    </row>
    <row r="5" spans="1:16" ht="14.55" x14ac:dyDescent="0.35">
      <c r="A5" t="s">
        <v>9</v>
      </c>
      <c r="B5" s="28">
        <v>0.19</v>
      </c>
    </row>
    <row r="6" spans="1:16" ht="14.55" x14ac:dyDescent="0.35">
      <c r="A6" t="s">
        <v>6</v>
      </c>
      <c r="B6" s="4">
        <f>(B3-B2)/365.25</f>
        <v>10.661190965092402</v>
      </c>
    </row>
    <row r="7" spans="1:16" ht="14.55" x14ac:dyDescent="0.35">
      <c r="M7" t="s">
        <v>34</v>
      </c>
    </row>
    <row r="8" spans="1:16" ht="14.55" x14ac:dyDescent="0.35">
      <c r="A8" s="9"/>
      <c r="B8" s="14">
        <v>39752</v>
      </c>
      <c r="C8" s="14">
        <f>B8+365</f>
        <v>40117</v>
      </c>
      <c r="D8" s="14">
        <f t="shared" ref="D8:L8" si="0">C8+365</f>
        <v>40482</v>
      </c>
      <c r="E8" s="14">
        <f t="shared" si="0"/>
        <v>40847</v>
      </c>
      <c r="F8" s="14">
        <f>E8+366</f>
        <v>41213</v>
      </c>
      <c r="G8" s="14">
        <f t="shared" si="0"/>
        <v>41578</v>
      </c>
      <c r="H8" s="14">
        <f t="shared" si="0"/>
        <v>41943</v>
      </c>
      <c r="I8" s="14">
        <f t="shared" si="0"/>
        <v>42308</v>
      </c>
      <c r="J8" s="14">
        <f>I8+366</f>
        <v>42674</v>
      </c>
      <c r="K8" s="14">
        <f t="shared" si="0"/>
        <v>43039</v>
      </c>
      <c r="L8" s="14">
        <f t="shared" si="0"/>
        <v>43404</v>
      </c>
      <c r="M8" s="14">
        <v>43646</v>
      </c>
    </row>
    <row r="9" spans="1:16" ht="14.55" x14ac:dyDescent="0.35">
      <c r="A9" s="9"/>
      <c r="B9" s="9">
        <v>0</v>
      </c>
      <c r="C9" s="9">
        <f>B9+1</f>
        <v>1</v>
      </c>
      <c r="D9" s="9">
        <f>C9+1</f>
        <v>2</v>
      </c>
      <c r="E9" s="9">
        <f t="shared" ref="E9:L9" si="1">D9+1</f>
        <v>3</v>
      </c>
      <c r="F9" s="9">
        <f t="shared" si="1"/>
        <v>4</v>
      </c>
      <c r="G9" s="9">
        <f t="shared" si="1"/>
        <v>5</v>
      </c>
      <c r="H9" s="9">
        <f t="shared" si="1"/>
        <v>6</v>
      </c>
      <c r="I9" s="9">
        <f t="shared" si="1"/>
        <v>7</v>
      </c>
      <c r="J9" s="9">
        <f t="shared" si="1"/>
        <v>8</v>
      </c>
      <c r="K9" s="9">
        <f t="shared" si="1"/>
        <v>9</v>
      </c>
      <c r="L9" s="9">
        <f t="shared" si="1"/>
        <v>10</v>
      </c>
      <c r="M9" s="9">
        <f>L9+(M8-L8)/365</f>
        <v>10.663013698630136</v>
      </c>
    </row>
    <row r="10" spans="1:16" s="2" customFormat="1" ht="14.55" x14ac:dyDescent="0.35">
      <c r="A10" s="15" t="s">
        <v>16</v>
      </c>
      <c r="B10" s="15">
        <f>B1</f>
        <v>185008.10908944206</v>
      </c>
      <c r="C10" s="15">
        <f t="shared" ref="C10:L10" si="2">B10*(1+$B$4)</f>
        <v>190558.35236212533</v>
      </c>
      <c r="D10" s="15">
        <f t="shared" si="2"/>
        <v>196275.1029329891</v>
      </c>
      <c r="E10" s="15">
        <f t="shared" si="2"/>
        <v>202163.35602097877</v>
      </c>
      <c r="F10" s="15">
        <f t="shared" si="2"/>
        <v>208228.25670160813</v>
      </c>
      <c r="G10" s="15">
        <f t="shared" si="2"/>
        <v>214475.10440265638</v>
      </c>
      <c r="H10" s="15">
        <f t="shared" si="2"/>
        <v>220909.35753473607</v>
      </c>
      <c r="I10" s="15">
        <f t="shared" si="2"/>
        <v>227536.63826077816</v>
      </c>
      <c r="J10" s="15">
        <f t="shared" si="2"/>
        <v>234362.7374086015</v>
      </c>
      <c r="K10" s="15">
        <f t="shared" si="2"/>
        <v>241393.61953085955</v>
      </c>
      <c r="L10" s="15">
        <f t="shared" si="2"/>
        <v>248635.42811678533</v>
      </c>
      <c r="M10" s="15">
        <f>L10*(1+$B$4*(M9-L9))</f>
        <v>253580.88896097124</v>
      </c>
    </row>
    <row r="11" spans="1:16" s="2" customFormat="1" ht="14.55" x14ac:dyDescent="0.35">
      <c r="A11" s="24" t="s">
        <v>1</v>
      </c>
      <c r="B11" s="24" t="s">
        <v>35</v>
      </c>
      <c r="C11" s="24">
        <f>-(C10-B10)</f>
        <v>-5550.2432726832631</v>
      </c>
      <c r="D11" s="24">
        <f t="shared" ref="D11:M11" si="3">-(D10-C10)</f>
        <v>-5716.7505708637764</v>
      </c>
      <c r="E11" s="24">
        <f t="shared" si="3"/>
        <v>-5888.2530879896658</v>
      </c>
      <c r="F11" s="24">
        <f t="shared" si="3"/>
        <v>-6064.9006806293619</v>
      </c>
      <c r="G11" s="24">
        <f t="shared" si="3"/>
        <v>-6246.8477010482457</v>
      </c>
      <c r="H11" s="24">
        <f t="shared" si="3"/>
        <v>-6434.2531320796988</v>
      </c>
      <c r="I11" s="24">
        <f t="shared" si="3"/>
        <v>-6627.2807260420814</v>
      </c>
      <c r="J11" s="24">
        <f t="shared" si="3"/>
        <v>-6826.0991478233482</v>
      </c>
      <c r="K11" s="24">
        <f t="shared" si="3"/>
        <v>-7030.8821222580445</v>
      </c>
      <c r="L11" s="24">
        <f t="shared" si="3"/>
        <v>-7241.8085859257844</v>
      </c>
      <c r="M11" s="24">
        <f t="shared" si="3"/>
        <v>-4945.4608441859018</v>
      </c>
    </row>
    <row r="12" spans="1:16" s="2" customFormat="1" ht="14.55" x14ac:dyDescent="0.35">
      <c r="L12" s="2" t="s">
        <v>18</v>
      </c>
      <c r="M12" s="2">
        <f>$B$10*(1+$B$4)^M9</f>
        <v>253556.2191530175</v>
      </c>
    </row>
    <row r="13" spans="1:16" s="2" customFormat="1" ht="14.55" x14ac:dyDescent="0.35">
      <c r="A13" s="2" t="s">
        <v>13</v>
      </c>
    </row>
    <row r="14" spans="1:16" s="2" customFormat="1" ht="14.55" x14ac:dyDescent="0.35">
      <c r="A14" s="15" t="s">
        <v>3</v>
      </c>
      <c r="B14" s="15">
        <f>-B10</f>
        <v>-185008.10908944206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6" s="2" customFormat="1" ht="14.55" x14ac:dyDescent="0.35">
      <c r="A15" s="15" t="s">
        <v>37</v>
      </c>
      <c r="B15" s="15"/>
      <c r="C15" s="25">
        <v>60053.800897971829</v>
      </c>
      <c r="D15" s="25">
        <v>25924.65139036125</v>
      </c>
      <c r="E15" s="25">
        <v>29653.090792015457</v>
      </c>
      <c r="F15" s="25">
        <v>7353.8375170422651</v>
      </c>
      <c r="G15" s="25">
        <v>16466.599111388259</v>
      </c>
      <c r="H15" s="25">
        <v>17784.62654097172</v>
      </c>
      <c r="I15" s="25">
        <v>14474.154152676825</v>
      </c>
      <c r="J15" s="25">
        <v>20533.84404722253</v>
      </c>
      <c r="K15" s="25">
        <v>15313.099165534639</v>
      </c>
      <c r="L15" s="25">
        <v>20678.209001471841</v>
      </c>
      <c r="M15" s="25">
        <v>15909.972836631743</v>
      </c>
      <c r="P15" s="2">
        <f>SUM(C15:M15)</f>
        <v>244145.88545328833</v>
      </c>
    </row>
    <row r="16" spans="1:16" s="2" customFormat="1" ht="14.55" x14ac:dyDescent="0.35">
      <c r="A16" s="15" t="s">
        <v>36</v>
      </c>
      <c r="B16" s="15"/>
      <c r="C16" s="29">
        <v>0.4</v>
      </c>
      <c r="D16" s="29">
        <f>C16</f>
        <v>0.4</v>
      </c>
      <c r="E16" s="29">
        <f t="shared" ref="E16:M16" si="4">D16</f>
        <v>0.4</v>
      </c>
      <c r="F16" s="29">
        <f t="shared" si="4"/>
        <v>0.4</v>
      </c>
      <c r="G16" s="29">
        <f t="shared" si="4"/>
        <v>0.4</v>
      </c>
      <c r="H16" s="29">
        <f t="shared" si="4"/>
        <v>0.4</v>
      </c>
      <c r="I16" s="29">
        <f t="shared" si="4"/>
        <v>0.4</v>
      </c>
      <c r="J16" s="29">
        <f t="shared" si="4"/>
        <v>0.4</v>
      </c>
      <c r="K16" s="29">
        <f t="shared" si="4"/>
        <v>0.4</v>
      </c>
      <c r="L16" s="29">
        <f t="shared" si="4"/>
        <v>0.4</v>
      </c>
      <c r="M16" s="29">
        <f t="shared" si="4"/>
        <v>0.4</v>
      </c>
    </row>
    <row r="17" spans="1:16" s="2" customFormat="1" ht="14.55" x14ac:dyDescent="0.35">
      <c r="A17" s="15" t="s">
        <v>14</v>
      </c>
      <c r="B17" s="15"/>
      <c r="C17" s="15">
        <f>-C16*C15</f>
        <v>-24021.520359188733</v>
      </c>
      <c r="D17" s="15">
        <f t="shared" ref="D17:M17" si="5">-D16*D15</f>
        <v>-10369.8605561445</v>
      </c>
      <c r="E17" s="15">
        <f t="shared" si="5"/>
        <v>-11861.236316806184</v>
      </c>
      <c r="F17" s="15">
        <f t="shared" si="5"/>
        <v>-2941.5350068169064</v>
      </c>
      <c r="G17" s="15">
        <f t="shared" si="5"/>
        <v>-6586.6396445553037</v>
      </c>
      <c r="H17" s="15">
        <f t="shared" si="5"/>
        <v>-7113.8506163886886</v>
      </c>
      <c r="I17" s="15">
        <f t="shared" si="5"/>
        <v>-5789.6616610707306</v>
      </c>
      <c r="J17" s="15">
        <f t="shared" si="5"/>
        <v>-8213.5376188890132</v>
      </c>
      <c r="K17" s="15">
        <f t="shared" si="5"/>
        <v>-6125.2396662138563</v>
      </c>
      <c r="L17" s="15">
        <f t="shared" si="5"/>
        <v>-8271.2836005887366</v>
      </c>
      <c r="M17" s="15">
        <f t="shared" si="5"/>
        <v>-6363.9891346526974</v>
      </c>
      <c r="O17" s="3"/>
      <c r="P17" s="2">
        <f>SUM(C17:M17)</f>
        <v>-97658.354181315357</v>
      </c>
    </row>
    <row r="18" spans="1:16" s="2" customFormat="1" ht="14.55" x14ac:dyDescent="0.35">
      <c r="P18" s="3">
        <f>-P17/P15</f>
        <v>0.40000000000000013</v>
      </c>
    </row>
    <row r="19" spans="1:16" s="2" customFormat="1" ht="14.55" x14ac:dyDescent="0.3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6" s="2" customFormat="1" ht="14.55" x14ac:dyDescent="0.35">
      <c r="A20" s="15" t="s">
        <v>2</v>
      </c>
      <c r="B20" s="15">
        <f t="shared" ref="B20:M20" si="6">SUM(B14:B17)</f>
        <v>-185008.10908944206</v>
      </c>
      <c r="C20" s="15">
        <f t="shared" si="6"/>
        <v>36032.680538783097</v>
      </c>
      <c r="D20" s="15">
        <f t="shared" si="6"/>
        <v>15555.190834216752</v>
      </c>
      <c r="E20" s="15">
        <f t="shared" si="6"/>
        <v>17792.254475209273</v>
      </c>
      <c r="F20" s="15">
        <f t="shared" si="6"/>
        <v>4412.7025102253583</v>
      </c>
      <c r="G20" s="15">
        <f t="shared" si="6"/>
        <v>9880.359466832957</v>
      </c>
      <c r="H20" s="15">
        <f t="shared" si="6"/>
        <v>10671.175924583033</v>
      </c>
      <c r="I20" s="15">
        <f t="shared" si="6"/>
        <v>8684.8924916060932</v>
      </c>
      <c r="J20" s="15">
        <f t="shared" si="6"/>
        <v>12320.706428333518</v>
      </c>
      <c r="K20" s="15">
        <f t="shared" si="6"/>
        <v>9188.2594993207822</v>
      </c>
      <c r="L20" s="15">
        <f t="shared" si="6"/>
        <v>12407.325400883106</v>
      </c>
      <c r="M20" s="15">
        <f t="shared" si="6"/>
        <v>9546.3837019790444</v>
      </c>
    </row>
    <row r="21" spans="1:16" s="2" customFormat="1" ht="14.55" x14ac:dyDescent="0.35">
      <c r="A21" s="15" t="s">
        <v>9</v>
      </c>
      <c r="B21" s="13">
        <f>B5</f>
        <v>0.19</v>
      </c>
      <c r="C21" s="13">
        <f>B21</f>
        <v>0.19</v>
      </c>
      <c r="D21" s="13">
        <f t="shared" ref="D21:M21" si="7">C21</f>
        <v>0.19</v>
      </c>
      <c r="E21" s="13">
        <f t="shared" si="7"/>
        <v>0.19</v>
      </c>
      <c r="F21" s="13">
        <f t="shared" si="7"/>
        <v>0.19</v>
      </c>
      <c r="G21" s="13">
        <f t="shared" si="7"/>
        <v>0.19</v>
      </c>
      <c r="H21" s="13">
        <f t="shared" si="7"/>
        <v>0.19</v>
      </c>
      <c r="I21" s="13">
        <f t="shared" si="7"/>
        <v>0.19</v>
      </c>
      <c r="J21" s="13">
        <f t="shared" si="7"/>
        <v>0.19</v>
      </c>
      <c r="K21" s="13">
        <f t="shared" si="7"/>
        <v>0.19</v>
      </c>
      <c r="L21" s="13">
        <f t="shared" si="7"/>
        <v>0.19</v>
      </c>
      <c r="M21" s="13">
        <f t="shared" si="7"/>
        <v>0.19</v>
      </c>
    </row>
    <row r="22" spans="1:16" s="2" customFormat="1" ht="14.55" x14ac:dyDescent="0.35">
      <c r="A22" s="15" t="s">
        <v>10</v>
      </c>
      <c r="B22" s="15">
        <f>IF(B20&gt;0,B20*(1-B21),B20)</f>
        <v>-185008.10908944206</v>
      </c>
      <c r="C22" s="15">
        <f t="shared" ref="C22:M22" si="8">IF(C20&gt;0,IF(C20+B25&lt;0,C20,(C20+B25)*C21),C20)</f>
        <v>36032.680538783097</v>
      </c>
      <c r="D22" s="15">
        <f t="shared" si="8"/>
        <v>15555.190834216752</v>
      </c>
      <c r="E22" s="15">
        <f t="shared" si="8"/>
        <v>17792.254475209273</v>
      </c>
      <c r="F22" s="15">
        <f t="shared" si="8"/>
        <v>4412.7025102253583</v>
      </c>
      <c r="G22" s="15">
        <f t="shared" si="8"/>
        <v>9880.359466832957</v>
      </c>
      <c r="H22" s="15">
        <f t="shared" si="8"/>
        <v>10671.175924583033</v>
      </c>
      <c r="I22" s="15">
        <f t="shared" si="8"/>
        <v>8684.8924916060932</v>
      </c>
      <c r="J22" s="15">
        <f t="shared" si="8"/>
        <v>12320.706428333518</v>
      </c>
      <c r="K22" s="15">
        <f t="shared" si="8"/>
        <v>9188.2594993207822</v>
      </c>
      <c r="L22" s="15">
        <f t="shared" si="8"/>
        <v>12407.325400883106</v>
      </c>
      <c r="M22" s="15">
        <f t="shared" si="8"/>
        <v>9546.3837019790444</v>
      </c>
      <c r="N22" s="2" t="s">
        <v>57</v>
      </c>
    </row>
    <row r="23" spans="1:16" s="2" customFormat="1" ht="14.55" x14ac:dyDescent="0.35">
      <c r="A23" s="16" t="s">
        <v>15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">
        <f>B30</f>
        <v>-220314.93359129623</v>
      </c>
    </row>
    <row r="24" spans="1:16" s="2" customFormat="1" ht="14.55" x14ac:dyDescent="0.35">
      <c r="A24" s="15" t="s">
        <v>11</v>
      </c>
      <c r="B24" s="15">
        <f>B22+B23</f>
        <v>-185008.10908944206</v>
      </c>
      <c r="C24" s="15">
        <f>C22+C23</f>
        <v>36032.680538783097</v>
      </c>
      <c r="D24" s="15">
        <f t="shared" ref="D24:M24" si="9">D22+D23</f>
        <v>15555.190834216752</v>
      </c>
      <c r="E24" s="15">
        <f t="shared" si="9"/>
        <v>17792.254475209273</v>
      </c>
      <c r="F24" s="15">
        <f t="shared" si="9"/>
        <v>4412.7025102253583</v>
      </c>
      <c r="G24" s="15">
        <f t="shared" si="9"/>
        <v>9880.359466832957</v>
      </c>
      <c r="H24" s="15">
        <f t="shared" si="9"/>
        <v>10671.175924583033</v>
      </c>
      <c r="I24" s="15">
        <f t="shared" si="9"/>
        <v>8684.8924916060932</v>
      </c>
      <c r="J24" s="15">
        <f t="shared" si="9"/>
        <v>12320.706428333518</v>
      </c>
      <c r="K24" s="15">
        <f t="shared" si="9"/>
        <v>9188.2594993207822</v>
      </c>
      <c r="L24" s="15">
        <f t="shared" si="9"/>
        <v>12407.325400883106</v>
      </c>
      <c r="M24" s="15">
        <f t="shared" si="9"/>
        <v>9546.3837019790444</v>
      </c>
    </row>
    <row r="25" spans="1:16" s="2" customFormat="1" ht="14.55" x14ac:dyDescent="0.35">
      <c r="A25" s="15" t="s">
        <v>12</v>
      </c>
      <c r="B25" s="15">
        <f>B22</f>
        <v>-185008.10908944206</v>
      </c>
      <c r="C25" s="15">
        <f t="shared" ref="C25:M25" si="10">B25+C22</f>
        <v>-148975.42855065898</v>
      </c>
      <c r="D25" s="15">
        <f t="shared" si="10"/>
        <v>-133420.23771644224</v>
      </c>
      <c r="E25" s="15">
        <f t="shared" si="10"/>
        <v>-115627.98324123296</v>
      </c>
      <c r="F25" s="15">
        <f t="shared" si="10"/>
        <v>-111215.2807310076</v>
      </c>
      <c r="G25" s="15">
        <f t="shared" si="10"/>
        <v>-101334.92126417464</v>
      </c>
      <c r="H25" s="15">
        <f t="shared" si="10"/>
        <v>-90663.745339591609</v>
      </c>
      <c r="I25" s="15">
        <f t="shared" si="10"/>
        <v>-81978.852847985516</v>
      </c>
      <c r="J25" s="15">
        <f t="shared" si="10"/>
        <v>-69658.146419651996</v>
      </c>
      <c r="K25" s="15">
        <f t="shared" si="10"/>
        <v>-60469.886920331213</v>
      </c>
      <c r="L25" s="15">
        <f t="shared" si="10"/>
        <v>-48062.561519448107</v>
      </c>
      <c r="M25" s="15">
        <f t="shared" si="10"/>
        <v>-38516.177817469063</v>
      </c>
    </row>
    <row r="26" spans="1:16" s="2" customFormat="1" ht="14.55" x14ac:dyDescent="0.35"/>
    <row r="27" spans="1:16" s="2" customFormat="1" ht="14.55" x14ac:dyDescent="0.35">
      <c r="A27" s="15" t="s">
        <v>4</v>
      </c>
      <c r="B27" s="30"/>
      <c r="C27" s="30">
        <v>1.8833333333333334E-2</v>
      </c>
      <c r="D27" s="30">
        <v>1.4166666666666668E-2</v>
      </c>
      <c r="E27" s="30">
        <v>1.8333333333333333E-2</v>
      </c>
      <c r="F27" s="30">
        <v>3.0666666666666668E-2</v>
      </c>
      <c r="G27" s="30">
        <v>8.8333333333333337E-3</v>
      </c>
      <c r="H27" s="30">
        <v>4.0000000000000001E-3</v>
      </c>
      <c r="I27" s="30">
        <v>3.1666666666666666E-3</v>
      </c>
      <c r="J27" s="30">
        <v>6.3333333333333332E-3</v>
      </c>
      <c r="K27" s="30">
        <v>2.2000000000000002E-2</v>
      </c>
      <c r="L27" s="30">
        <v>2.1666666666666667E-2</v>
      </c>
      <c r="M27" s="30">
        <v>2.8500000000000001E-2</v>
      </c>
    </row>
    <row r="28" spans="1:16" s="2" customFormat="1" ht="14.55" x14ac:dyDescent="0.35">
      <c r="A28" s="15" t="s">
        <v>5</v>
      </c>
      <c r="B28" s="13">
        <f t="shared" ref="B28:K28" si="11">C28*(1+C27)</f>
        <v>1.190839334965502</v>
      </c>
      <c r="C28" s="13">
        <f t="shared" si="11"/>
        <v>1.1688264370673993</v>
      </c>
      <c r="D28" s="13">
        <f t="shared" si="11"/>
        <v>1.1524993627616098</v>
      </c>
      <c r="E28" s="13">
        <f t="shared" si="11"/>
        <v>1.1317506017298951</v>
      </c>
      <c r="F28" s="13">
        <f t="shared" si="11"/>
        <v>1.0980762629979577</v>
      </c>
      <c r="G28" s="13">
        <f t="shared" si="11"/>
        <v>1.0884615195750449</v>
      </c>
      <c r="H28" s="13">
        <f t="shared" si="11"/>
        <v>1.0841250194970566</v>
      </c>
      <c r="I28" s="13">
        <f t="shared" si="11"/>
        <v>1.0807027939827778</v>
      </c>
      <c r="J28" s="13">
        <f t="shared" si="11"/>
        <v>1.0739014183333333</v>
      </c>
      <c r="K28" s="13">
        <f t="shared" si="11"/>
        <v>1.0507841666666666</v>
      </c>
      <c r="L28" s="13">
        <f>M28*(1+M27)</f>
        <v>1.0285</v>
      </c>
      <c r="M28" s="13">
        <f>N28*(1+N27)</f>
        <v>1</v>
      </c>
      <c r="N28" s="3">
        <v>1</v>
      </c>
    </row>
    <row r="30" spans="1:16" s="2" customFormat="1" ht="14.55" x14ac:dyDescent="0.35">
      <c r="A30" s="31" t="s">
        <v>29</v>
      </c>
      <c r="B30" s="31">
        <f>B24*B28</f>
        <v>-220314.93359129623</v>
      </c>
      <c r="C30" s="31">
        <f t="shared" ref="C30:M30" si="12">C24*C28</f>
        <v>42115.949612133663</v>
      </c>
      <c r="D30" s="31">
        <f t="shared" si="12"/>
        <v>17927.347524070039</v>
      </c>
      <c r="E30" s="31">
        <f t="shared" si="12"/>
        <v>20136.394708449512</v>
      </c>
      <c r="F30" s="31">
        <f t="shared" si="12"/>
        <v>4845.4838821499688</v>
      </c>
      <c r="G30" s="31">
        <f t="shared" si="12"/>
        <v>10754.391079216681</v>
      </c>
      <c r="H30" s="31">
        <f t="shared" si="12"/>
        <v>11568.888807295101</v>
      </c>
      <c r="I30" s="31">
        <f t="shared" si="12"/>
        <v>9385.7875811187532</v>
      </c>
      <c r="J30" s="31">
        <f t="shared" si="12"/>
        <v>13231.224108255983</v>
      </c>
      <c r="K30" s="31">
        <f t="shared" si="12"/>
        <v>9654.8776011108712</v>
      </c>
      <c r="L30" s="31">
        <f t="shared" si="12"/>
        <v>12760.934174808275</v>
      </c>
      <c r="M30" s="31">
        <f t="shared" si="12"/>
        <v>9546.3837019790444</v>
      </c>
    </row>
    <row r="32" spans="1:16" ht="14.55" x14ac:dyDescent="0.35">
      <c r="A32" s="9" t="s">
        <v>2</v>
      </c>
      <c r="B32" s="32">
        <f>SUM(30:30)</f>
        <v>-58387.270810708309</v>
      </c>
    </row>
    <row r="33" spans="1:13" ht="14.55" x14ac:dyDescent="0.35">
      <c r="A33" s="9" t="s">
        <v>19</v>
      </c>
      <c r="B33" s="33">
        <f>B41</f>
        <v>-74448.846993318875</v>
      </c>
    </row>
    <row r="34" spans="1:13" ht="14.55" x14ac:dyDescent="0.35">
      <c r="A34" s="9"/>
      <c r="B34" s="32"/>
    </row>
    <row r="35" spans="1:13" ht="14.55" x14ac:dyDescent="0.35">
      <c r="A35" s="17" t="s">
        <v>56</v>
      </c>
      <c r="B35" s="38">
        <f>B33+B32</f>
        <v>-132836.11780402719</v>
      </c>
    </row>
    <row r="37" spans="1:13" ht="14.55" x14ac:dyDescent="0.35">
      <c r="A37" t="s">
        <v>54</v>
      </c>
      <c r="B37" t="s">
        <v>55</v>
      </c>
    </row>
    <row r="38" spans="1:13" ht="14.55" x14ac:dyDescent="0.35">
      <c r="A38" s="9" t="str">
        <f>A1</f>
        <v>Purchase price</v>
      </c>
      <c r="B38" s="15">
        <f>B14*B28</f>
        <v>-220314.93359129623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x14ac:dyDescent="0.3">
      <c r="A39" s="32" t="str">
        <f>A15</f>
        <v>Revenue/rent</v>
      </c>
      <c r="B39" s="15">
        <f>SUM(C39:M39)</f>
        <v>269871.46621592477</v>
      </c>
      <c r="C39" s="15">
        <f>C15*C$28</f>
        <v>70192.470135931391</v>
      </c>
      <c r="D39" s="15">
        <f t="shared" ref="D39:M39" si="13">D15*D$28</f>
        <v>29878.144207208221</v>
      </c>
      <c r="E39" s="15">
        <f t="shared" si="13"/>
        <v>33559.903347014704</v>
      </c>
      <c r="F39" s="15">
        <f t="shared" si="13"/>
        <v>8075.0744194079507</v>
      </c>
      <c r="G39" s="15">
        <f t="shared" si="13"/>
        <v>17923.259491014749</v>
      </c>
      <c r="H39" s="15">
        <f t="shared" si="13"/>
        <v>19280.758595478837</v>
      </c>
      <c r="I39" s="15">
        <f t="shared" si="13"/>
        <v>15642.258833335271</v>
      </c>
      <c r="J39" s="15">
        <f t="shared" si="13"/>
        <v>22051.324246147749</v>
      </c>
      <c r="K39" s="15">
        <f t="shared" si="13"/>
        <v>16090.762145740344</v>
      </c>
      <c r="L39" s="15">
        <f t="shared" si="13"/>
        <v>21267.537958013789</v>
      </c>
      <c r="M39" s="15">
        <f t="shared" si="13"/>
        <v>15909.972836631743</v>
      </c>
    </row>
    <row r="40" spans="1:13" x14ac:dyDescent="0.3">
      <c r="A40" s="32" t="str">
        <f>A17</f>
        <v>Costs, incl. overhead</v>
      </c>
      <c r="B40" s="15">
        <f>SUM(C40:M40)</f>
        <v>-107948.58648636991</v>
      </c>
      <c r="C40" s="15">
        <f>C17*C$28</f>
        <v>-28076.988054372559</v>
      </c>
      <c r="D40" s="15">
        <f t="shared" ref="D40:M40" si="14">D17*D$28</f>
        <v>-11951.25768288329</v>
      </c>
      <c r="E40" s="15">
        <f t="shared" si="14"/>
        <v>-13423.961338805882</v>
      </c>
      <c r="F40" s="15">
        <f t="shared" si="14"/>
        <v>-3230.0297677631806</v>
      </c>
      <c r="G40" s="15">
        <f t="shared" si="14"/>
        <v>-7169.3037964058994</v>
      </c>
      <c r="H40" s="15">
        <f t="shared" si="14"/>
        <v>-7712.3034381915359</v>
      </c>
      <c r="I40" s="15">
        <f t="shared" si="14"/>
        <v>-6256.9035333341089</v>
      </c>
      <c r="J40" s="15">
        <f t="shared" si="14"/>
        <v>-8820.5296984591005</v>
      </c>
      <c r="K40" s="15">
        <f t="shared" si="14"/>
        <v>-6436.3048582961383</v>
      </c>
      <c r="L40" s="15">
        <f t="shared" si="14"/>
        <v>-8507.0151832055162</v>
      </c>
      <c r="M40" s="15">
        <f t="shared" si="14"/>
        <v>-6363.9891346526974</v>
      </c>
    </row>
    <row r="41" spans="1:13" x14ac:dyDescent="0.3">
      <c r="A41" s="32" t="str">
        <f>A11</f>
        <v>ROI</v>
      </c>
      <c r="B41" s="15">
        <f>SUM(C41:M41)</f>
        <v>-74448.846993318875</v>
      </c>
      <c r="C41" s="15">
        <f>C11*C$28</f>
        <v>-6487.2710692676801</v>
      </c>
      <c r="D41" s="15">
        <f t="shared" ref="D41:M41" si="15">D11*D$28</f>
        <v>-6588.5513899875714</v>
      </c>
      <c r="E41" s="15">
        <f t="shared" si="15"/>
        <v>-6664.0339754702172</v>
      </c>
      <c r="F41" s="15">
        <f t="shared" si="15"/>
        <v>-6659.7234748392593</v>
      </c>
      <c r="G41" s="15">
        <f t="shared" si="15"/>
        <v>-6799.4533412368492</v>
      </c>
      <c r="H41" s="15">
        <f t="shared" si="15"/>
        <v>-6975.5348022649014</v>
      </c>
      <c r="I41" s="15">
        <f t="shared" si="15"/>
        <v>-7162.1207971418899</v>
      </c>
      <c r="J41" s="15">
        <f t="shared" si="15"/>
        <v>-7330.5575565314512</v>
      </c>
      <c r="K41" s="15">
        <f t="shared" si="15"/>
        <v>-7387.9396117684837</v>
      </c>
      <c r="L41" s="15">
        <f t="shared" si="15"/>
        <v>-7448.2001306246693</v>
      </c>
      <c r="M41" s="15">
        <f t="shared" si="15"/>
        <v>-4945.4608441859018</v>
      </c>
    </row>
    <row r="42" spans="1:13" x14ac:dyDescent="0.3">
      <c r="A42" s="9"/>
      <c r="B42" s="15">
        <f>SUM(B38:B41)</f>
        <v>-132840.90085506026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workbookViewId="0">
      <selection activeCell="C23" sqref="C23"/>
    </sheetView>
  </sheetViews>
  <sheetFormatPr defaultRowHeight="14.4" x14ac:dyDescent="0.3"/>
  <cols>
    <col min="1" max="1" width="19.6640625" style="5" customWidth="1"/>
  </cols>
  <sheetData>
    <row r="1" spans="1:29" ht="14.55" x14ac:dyDescent="0.35">
      <c r="A1" s="17" t="s">
        <v>41</v>
      </c>
      <c r="B1" s="34">
        <v>2.5000000000000001E-2</v>
      </c>
      <c r="G1" s="35" t="s">
        <v>38</v>
      </c>
    </row>
    <row r="2" spans="1:29" ht="14.55" x14ac:dyDescent="0.35">
      <c r="A2" s="17" t="str">
        <f>'past DCF'!A4</f>
        <v>Required return (ROI) above inflation</v>
      </c>
      <c r="B2" s="29">
        <v>0.03</v>
      </c>
    </row>
    <row r="4" spans="1:29" s="5" customFormat="1" ht="14.55" x14ac:dyDescent="0.35">
      <c r="A4" s="17" t="s">
        <v>53</v>
      </c>
      <c r="B4" s="17">
        <v>0</v>
      </c>
      <c r="C4" s="17">
        <f>B4+1</f>
        <v>1</v>
      </c>
      <c r="D4" s="17">
        <f t="shared" ref="D4:N4" si="0">C4+1</f>
        <v>2</v>
      </c>
      <c r="E4" s="17">
        <f t="shared" si="0"/>
        <v>3</v>
      </c>
      <c r="F4" s="17">
        <f t="shared" si="0"/>
        <v>4</v>
      </c>
      <c r="G4" s="17">
        <f t="shared" si="0"/>
        <v>5</v>
      </c>
      <c r="H4" s="17">
        <f t="shared" si="0"/>
        <v>6</v>
      </c>
      <c r="I4" s="17">
        <f t="shared" si="0"/>
        <v>7</v>
      </c>
      <c r="J4" s="17">
        <f t="shared" si="0"/>
        <v>8</v>
      </c>
      <c r="K4" s="17">
        <f t="shared" si="0"/>
        <v>9</v>
      </c>
      <c r="L4" s="17">
        <f t="shared" si="0"/>
        <v>10</v>
      </c>
      <c r="M4" s="17">
        <f t="shared" si="0"/>
        <v>11</v>
      </c>
      <c r="N4" s="17">
        <f t="shared" si="0"/>
        <v>12</v>
      </c>
      <c r="O4" s="17">
        <f t="shared" ref="O4" si="1">N4+1</f>
        <v>13</v>
      </c>
      <c r="P4" s="17">
        <f t="shared" ref="P4" si="2">O4+1</f>
        <v>14</v>
      </c>
      <c r="Q4" s="17">
        <f t="shared" ref="Q4" si="3">P4+1</f>
        <v>15</v>
      </c>
      <c r="R4" s="17">
        <f t="shared" ref="R4:S4" si="4">Q4+1</f>
        <v>16</v>
      </c>
      <c r="S4" s="17">
        <f t="shared" si="4"/>
        <v>17</v>
      </c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14.55" x14ac:dyDescent="0.35">
      <c r="A5" s="17" t="s">
        <v>7</v>
      </c>
      <c r="B5" s="10"/>
      <c r="C5" s="34">
        <v>0.03</v>
      </c>
      <c r="D5" s="34">
        <f>C5</f>
        <v>0.03</v>
      </c>
      <c r="E5" s="34">
        <f t="shared" ref="E5:L5" si="5">D5</f>
        <v>0.03</v>
      </c>
      <c r="F5" s="34">
        <f t="shared" si="5"/>
        <v>0.03</v>
      </c>
      <c r="G5" s="34">
        <f t="shared" si="5"/>
        <v>0.03</v>
      </c>
      <c r="H5" s="34">
        <f t="shared" si="5"/>
        <v>0.03</v>
      </c>
      <c r="I5" s="34">
        <f t="shared" si="5"/>
        <v>0.03</v>
      </c>
      <c r="J5" s="34">
        <f t="shared" si="5"/>
        <v>0.03</v>
      </c>
      <c r="K5" s="34">
        <f t="shared" si="5"/>
        <v>0.03</v>
      </c>
      <c r="L5" s="34">
        <f t="shared" si="5"/>
        <v>0.03</v>
      </c>
      <c r="M5" s="34">
        <f t="shared" ref="M5:N5" si="6">L5</f>
        <v>0.03</v>
      </c>
      <c r="N5" s="34">
        <f t="shared" si="6"/>
        <v>0.03</v>
      </c>
      <c r="O5" s="34">
        <f t="shared" ref="O5:S5" si="7">N5</f>
        <v>0.03</v>
      </c>
      <c r="P5" s="34">
        <f t="shared" si="7"/>
        <v>0.03</v>
      </c>
      <c r="Q5" s="34">
        <f t="shared" si="7"/>
        <v>0.03</v>
      </c>
      <c r="R5" s="34">
        <f t="shared" si="7"/>
        <v>0.03</v>
      </c>
      <c r="S5" s="34">
        <f t="shared" si="7"/>
        <v>0.03</v>
      </c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s="1" customFormat="1" ht="14.55" x14ac:dyDescent="0.35">
      <c r="A6" s="18" t="s">
        <v>20</v>
      </c>
      <c r="B6" s="36">
        <f>2900*11</f>
        <v>31900</v>
      </c>
      <c r="C6" s="12">
        <f>B6*(1+C5)</f>
        <v>32857</v>
      </c>
      <c r="D6" s="12">
        <f t="shared" ref="D6:N6" si="8">C6*(1+D5)</f>
        <v>33842.71</v>
      </c>
      <c r="E6" s="12">
        <f t="shared" si="8"/>
        <v>34857.991300000002</v>
      </c>
      <c r="F6" s="12">
        <f t="shared" si="8"/>
        <v>35903.731039000006</v>
      </c>
      <c r="G6" s="12">
        <f t="shared" si="8"/>
        <v>36980.842970170008</v>
      </c>
      <c r="H6" s="12">
        <f t="shared" si="8"/>
        <v>38090.268259275108</v>
      </c>
      <c r="I6" s="12">
        <f t="shared" si="8"/>
        <v>39232.976307053359</v>
      </c>
      <c r="J6" s="12">
        <f t="shared" si="8"/>
        <v>40409.965596264963</v>
      </c>
      <c r="K6" s="12">
        <f t="shared" si="8"/>
        <v>41622.264564152916</v>
      </c>
      <c r="L6" s="12">
        <f t="shared" si="8"/>
        <v>42870.932501077506</v>
      </c>
      <c r="M6" s="12">
        <f t="shared" si="8"/>
        <v>44157.060476109829</v>
      </c>
      <c r="N6" s="12">
        <f t="shared" si="8"/>
        <v>45481.772290393128</v>
      </c>
      <c r="O6" s="12">
        <f t="shared" ref="O6" si="9">N6*(1+O5)</f>
        <v>46846.22545910492</v>
      </c>
      <c r="P6" s="12">
        <f t="shared" ref="P6" si="10">O6*(1+P5)</f>
        <v>48251.612222878066</v>
      </c>
      <c r="Q6" s="12">
        <f t="shared" ref="Q6" si="11">P6*(1+Q5)</f>
        <v>49699.16058956441</v>
      </c>
      <c r="R6" s="12">
        <f t="shared" ref="R6:S6" si="12">Q6*(1+R5)</f>
        <v>51190.135407251342</v>
      </c>
      <c r="S6" s="12">
        <f t="shared" si="12"/>
        <v>52725.839469468883</v>
      </c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s="1" customFormat="1" ht="14.55" x14ac:dyDescent="0.35">
      <c r="A7" s="18" t="s">
        <v>22</v>
      </c>
      <c r="B7" s="29">
        <v>0.4</v>
      </c>
      <c r="C7" s="29">
        <f>B7</f>
        <v>0.4</v>
      </c>
      <c r="D7" s="29">
        <f t="shared" ref="D7:S7" si="13">C7</f>
        <v>0.4</v>
      </c>
      <c r="E7" s="29">
        <f t="shared" si="13"/>
        <v>0.4</v>
      </c>
      <c r="F7" s="29">
        <f t="shared" si="13"/>
        <v>0.4</v>
      </c>
      <c r="G7" s="29">
        <f t="shared" si="13"/>
        <v>0.4</v>
      </c>
      <c r="H7" s="29">
        <f t="shared" si="13"/>
        <v>0.4</v>
      </c>
      <c r="I7" s="29">
        <f t="shared" si="13"/>
        <v>0.4</v>
      </c>
      <c r="J7" s="29">
        <f t="shared" si="13"/>
        <v>0.4</v>
      </c>
      <c r="K7" s="29">
        <f t="shared" si="13"/>
        <v>0.4</v>
      </c>
      <c r="L7" s="29">
        <f t="shared" si="13"/>
        <v>0.4</v>
      </c>
      <c r="M7" s="29">
        <f t="shared" si="13"/>
        <v>0.4</v>
      </c>
      <c r="N7" s="29">
        <f t="shared" si="13"/>
        <v>0.4</v>
      </c>
      <c r="O7" s="29">
        <f t="shared" si="13"/>
        <v>0.4</v>
      </c>
      <c r="P7" s="29">
        <f t="shared" si="13"/>
        <v>0.4</v>
      </c>
      <c r="Q7" s="29">
        <f t="shared" si="13"/>
        <v>0.4</v>
      </c>
      <c r="R7" s="29">
        <f t="shared" si="13"/>
        <v>0.4</v>
      </c>
      <c r="S7" s="29">
        <f t="shared" si="13"/>
        <v>0.4</v>
      </c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s="1" customFormat="1" ht="14.55" x14ac:dyDescent="0.35">
      <c r="A8" s="18" t="s">
        <v>23</v>
      </c>
      <c r="B8" s="12">
        <f>B6*(1-B7)</f>
        <v>19140</v>
      </c>
      <c r="C8" s="12">
        <f t="shared" ref="C8:N8" si="14">C6*(1-C7)</f>
        <v>19714.2</v>
      </c>
      <c r="D8" s="12">
        <f t="shared" si="14"/>
        <v>20305.626</v>
      </c>
      <c r="E8" s="12">
        <f t="shared" si="14"/>
        <v>20914.79478</v>
      </c>
      <c r="F8" s="12">
        <f t="shared" si="14"/>
        <v>21542.238623400004</v>
      </c>
      <c r="G8" s="12">
        <f t="shared" si="14"/>
        <v>22188.505782102005</v>
      </c>
      <c r="H8" s="12">
        <f t="shared" si="14"/>
        <v>22854.160955565065</v>
      </c>
      <c r="I8" s="12">
        <f t="shared" si="14"/>
        <v>23539.785784232015</v>
      </c>
      <c r="J8" s="12">
        <f t="shared" si="14"/>
        <v>24245.979357758977</v>
      </c>
      <c r="K8" s="12">
        <f t="shared" si="14"/>
        <v>24973.358738491748</v>
      </c>
      <c r="L8" s="12">
        <f t="shared" si="14"/>
        <v>25722.559500646505</v>
      </c>
      <c r="M8" s="12">
        <f t="shared" si="14"/>
        <v>26494.236285665898</v>
      </c>
      <c r="N8" s="12">
        <f t="shared" si="14"/>
        <v>27289.063374235877</v>
      </c>
      <c r="O8" s="12">
        <f t="shared" ref="O8" si="15">O6*(1-O7)</f>
        <v>28107.73527546295</v>
      </c>
      <c r="P8" s="12">
        <f t="shared" ref="P8" si="16">P6*(1-P7)</f>
        <v>28950.96733372684</v>
      </c>
      <c r="Q8" s="12">
        <f t="shared" ref="Q8" si="17">Q6*(1-Q7)</f>
        <v>29819.496353738643</v>
      </c>
      <c r="R8" s="12">
        <f t="shared" ref="R8:S8" si="18">R6*(1-R7)</f>
        <v>30714.081244350804</v>
      </c>
      <c r="S8" s="12">
        <f t="shared" si="18"/>
        <v>31635.50368168133</v>
      </c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s="1" customFormat="1" ht="14.55" x14ac:dyDescent="0.35">
      <c r="A9" s="18" t="s">
        <v>39</v>
      </c>
      <c r="B9" s="36"/>
      <c r="C9" s="36"/>
      <c r="D9" s="36"/>
      <c r="E9" s="36"/>
      <c r="F9" s="36"/>
      <c r="G9" s="36">
        <v>-5000</v>
      </c>
      <c r="H9" s="36"/>
      <c r="I9" s="36"/>
      <c r="J9" s="36"/>
      <c r="K9" s="36"/>
      <c r="L9" s="36">
        <f>G9</f>
        <v>-5000</v>
      </c>
      <c r="M9" s="36"/>
      <c r="N9" s="36"/>
      <c r="O9" s="36"/>
      <c r="P9" s="36"/>
      <c r="Q9" s="36">
        <f>L9</f>
        <v>-5000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14.55" x14ac:dyDescent="0.35">
      <c r="A10" s="18" t="s">
        <v>27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36">
        <f>$B$27*(1+$B$1)^S4</f>
        <v>45648.547835312311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s="1" customFormat="1" ht="14.55" x14ac:dyDescent="0.35">
      <c r="A11" s="18" t="s">
        <v>8</v>
      </c>
      <c r="B11" s="12">
        <f t="shared" ref="B11:N11" si="19">B8+B9+B10</f>
        <v>19140</v>
      </c>
      <c r="C11" s="12">
        <f t="shared" si="19"/>
        <v>19714.2</v>
      </c>
      <c r="D11" s="12">
        <f t="shared" si="19"/>
        <v>20305.626</v>
      </c>
      <c r="E11" s="12">
        <f t="shared" si="19"/>
        <v>20914.79478</v>
      </c>
      <c r="F11" s="12">
        <f t="shared" si="19"/>
        <v>21542.238623400004</v>
      </c>
      <c r="G11" s="12">
        <f t="shared" si="19"/>
        <v>17188.505782102005</v>
      </c>
      <c r="H11" s="12">
        <f t="shared" si="19"/>
        <v>22854.160955565065</v>
      </c>
      <c r="I11" s="12">
        <f t="shared" si="19"/>
        <v>23539.785784232015</v>
      </c>
      <c r="J11" s="12">
        <f t="shared" si="19"/>
        <v>24245.979357758977</v>
      </c>
      <c r="K11" s="12">
        <f t="shared" si="19"/>
        <v>24973.358738491748</v>
      </c>
      <c r="L11" s="12">
        <f t="shared" si="19"/>
        <v>20722.559500646505</v>
      </c>
      <c r="M11" s="12">
        <f t="shared" si="19"/>
        <v>26494.236285665898</v>
      </c>
      <c r="N11" s="12">
        <f t="shared" si="19"/>
        <v>27289.063374235877</v>
      </c>
      <c r="O11" s="12">
        <f t="shared" ref="O11:R11" si="20">O8+O9+O10</f>
        <v>28107.73527546295</v>
      </c>
      <c r="P11" s="12">
        <f t="shared" si="20"/>
        <v>28950.96733372684</v>
      </c>
      <c r="Q11" s="12">
        <f t="shared" si="20"/>
        <v>24819.496353738643</v>
      </c>
      <c r="R11" s="12">
        <f t="shared" si="20"/>
        <v>30714.081244350804</v>
      </c>
      <c r="S11" s="12">
        <f>S8+S9+S10</f>
        <v>77284.051516993641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s="3" customFormat="1" ht="14.55" x14ac:dyDescent="0.35">
      <c r="A12" s="19" t="s">
        <v>24</v>
      </c>
      <c r="B12" s="29">
        <v>0.19</v>
      </c>
      <c r="C12" s="29">
        <v>0.19</v>
      </c>
      <c r="D12" s="29">
        <v>0.19</v>
      </c>
      <c r="E12" s="29">
        <v>0.19</v>
      </c>
      <c r="F12" s="29">
        <v>0.19</v>
      </c>
      <c r="G12" s="29">
        <v>0.19</v>
      </c>
      <c r="H12" s="29">
        <v>0.19</v>
      </c>
      <c r="I12" s="29">
        <v>0.19</v>
      </c>
      <c r="J12" s="29">
        <v>0.19</v>
      </c>
      <c r="K12" s="29">
        <v>0.19</v>
      </c>
      <c r="L12" s="29">
        <v>0.19</v>
      </c>
      <c r="M12" s="29">
        <v>0.19</v>
      </c>
      <c r="N12" s="29">
        <v>0.19</v>
      </c>
      <c r="O12" s="29">
        <v>0.19</v>
      </c>
      <c r="P12" s="29">
        <v>0.19</v>
      </c>
      <c r="Q12" s="29">
        <v>0.19</v>
      </c>
      <c r="R12" s="29">
        <v>0.19</v>
      </c>
      <c r="S12" s="29">
        <v>0.19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s="1" customFormat="1" ht="14.55" x14ac:dyDescent="0.35">
      <c r="A13" s="18" t="s">
        <v>25</v>
      </c>
      <c r="B13" s="12">
        <f>-B11*B12</f>
        <v>-3636.6</v>
      </c>
      <c r="C13" s="12">
        <f t="shared" ref="C13:N13" si="21">-C11*C12</f>
        <v>-3745.6980000000003</v>
      </c>
      <c r="D13" s="12">
        <f t="shared" si="21"/>
        <v>-3858.0689400000001</v>
      </c>
      <c r="E13" s="12">
        <f t="shared" si="21"/>
        <v>-3973.8110082000003</v>
      </c>
      <c r="F13" s="12">
        <f t="shared" si="21"/>
        <v>-4093.0253384460007</v>
      </c>
      <c r="G13" s="12">
        <f t="shared" si="21"/>
        <v>-3265.8160985993809</v>
      </c>
      <c r="H13" s="12">
        <f t="shared" si="21"/>
        <v>-4342.2905815573622</v>
      </c>
      <c r="I13" s="12">
        <f t="shared" si="21"/>
        <v>-4472.5592990040832</v>
      </c>
      <c r="J13" s="12">
        <f t="shared" si="21"/>
        <v>-4606.7360779742057</v>
      </c>
      <c r="K13" s="12">
        <f t="shared" si="21"/>
        <v>-4744.9381603134325</v>
      </c>
      <c r="L13" s="12">
        <f t="shared" si="21"/>
        <v>-3937.286305122836</v>
      </c>
      <c r="M13" s="12">
        <f t="shared" si="21"/>
        <v>-5033.9048942765212</v>
      </c>
      <c r="N13" s="12">
        <f t="shared" si="21"/>
        <v>-5184.9220411048163</v>
      </c>
      <c r="O13" s="12">
        <f t="shared" ref="O13" si="22">-O11*O12</f>
        <v>-5340.4697023379604</v>
      </c>
      <c r="P13" s="12">
        <f t="shared" ref="P13" si="23">-P11*P12</f>
        <v>-5500.6837934080995</v>
      </c>
      <c r="Q13" s="12">
        <f t="shared" ref="Q13" si="24">-Q11*Q12</f>
        <v>-4715.7043072103424</v>
      </c>
      <c r="R13" s="12">
        <f t="shared" ref="R13:S13" si="25">-R11*R12</f>
        <v>-5835.6754364266526</v>
      </c>
      <c r="S13" s="12">
        <f t="shared" si="25"/>
        <v>-14683.969788228791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s="1" customFormat="1" ht="14.55" x14ac:dyDescent="0.35">
      <c r="A14" s="18" t="s">
        <v>26</v>
      </c>
      <c r="B14" s="12">
        <f>B11+B13</f>
        <v>15503.4</v>
      </c>
      <c r="C14" s="12">
        <f t="shared" ref="C14:N14" si="26">C11+C13</f>
        <v>15968.502</v>
      </c>
      <c r="D14" s="12">
        <f t="shared" si="26"/>
        <v>16447.557059999999</v>
      </c>
      <c r="E14" s="12">
        <f t="shared" si="26"/>
        <v>16940.983771799998</v>
      </c>
      <c r="F14" s="12">
        <f t="shared" si="26"/>
        <v>17449.213284954003</v>
      </c>
      <c r="G14" s="12">
        <f t="shared" si="26"/>
        <v>13922.689683502624</v>
      </c>
      <c r="H14" s="12">
        <f t="shared" si="26"/>
        <v>18511.870374007704</v>
      </c>
      <c r="I14" s="12">
        <f t="shared" si="26"/>
        <v>19067.226485227933</v>
      </c>
      <c r="J14" s="12">
        <f t="shared" si="26"/>
        <v>19639.243279784772</v>
      </c>
      <c r="K14" s="12">
        <f t="shared" si="26"/>
        <v>20228.420578178317</v>
      </c>
      <c r="L14" s="12">
        <f t="shared" si="26"/>
        <v>16785.273195523667</v>
      </c>
      <c r="M14" s="12">
        <f t="shared" si="26"/>
        <v>21460.331391389376</v>
      </c>
      <c r="N14" s="12">
        <f t="shared" si="26"/>
        <v>22104.141333131061</v>
      </c>
      <c r="O14" s="12">
        <f t="shared" ref="O14" si="27">O11+O13</f>
        <v>22767.265573124991</v>
      </c>
      <c r="P14" s="12">
        <f t="shared" ref="P14" si="28">P11+P13</f>
        <v>23450.283540318742</v>
      </c>
      <c r="Q14" s="12">
        <f t="shared" ref="Q14" si="29">Q11+Q13</f>
        <v>20103.792046528302</v>
      </c>
      <c r="R14" s="12">
        <f t="shared" ref="R14:S14" si="30">R11+R13</f>
        <v>24878.405807924151</v>
      </c>
      <c r="S14" s="12">
        <f t="shared" si="30"/>
        <v>62600.081728764853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s="1" customFormat="1" ht="14.55" x14ac:dyDescent="0.35">
      <c r="A15" s="20" t="s">
        <v>28</v>
      </c>
      <c r="B15" s="36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36">
        <f>-B26*(1+$B$1)^S4</f>
        <v>-190202.28264713462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s="1" customFormat="1" ht="14.55" x14ac:dyDescent="0.35">
      <c r="A16" s="18" t="s">
        <v>11</v>
      </c>
      <c r="B16" s="12"/>
      <c r="C16" s="12">
        <f>C14+C15</f>
        <v>15968.502</v>
      </c>
      <c r="D16" s="12">
        <f t="shared" ref="D16:S16" si="31">D14+D15</f>
        <v>16447.557059999999</v>
      </c>
      <c r="E16" s="12">
        <f t="shared" si="31"/>
        <v>16940.983771799998</v>
      </c>
      <c r="F16" s="12">
        <f t="shared" si="31"/>
        <v>17449.213284954003</v>
      </c>
      <c r="G16" s="12">
        <f t="shared" si="31"/>
        <v>13922.689683502624</v>
      </c>
      <c r="H16" s="12">
        <f t="shared" si="31"/>
        <v>18511.870374007704</v>
      </c>
      <c r="I16" s="12">
        <f t="shared" si="31"/>
        <v>19067.226485227933</v>
      </c>
      <c r="J16" s="12">
        <f t="shared" si="31"/>
        <v>19639.243279784772</v>
      </c>
      <c r="K16" s="12">
        <f t="shared" si="31"/>
        <v>20228.420578178317</v>
      </c>
      <c r="L16" s="12">
        <f t="shared" si="31"/>
        <v>16785.273195523667</v>
      </c>
      <c r="M16" s="12">
        <f t="shared" si="31"/>
        <v>21460.331391389376</v>
      </c>
      <c r="N16" s="12">
        <f t="shared" si="31"/>
        <v>22104.141333131061</v>
      </c>
      <c r="O16" s="12">
        <f t="shared" si="31"/>
        <v>22767.265573124991</v>
      </c>
      <c r="P16" s="12">
        <f t="shared" si="31"/>
        <v>23450.283540318742</v>
      </c>
      <c r="Q16" s="12">
        <f t="shared" si="31"/>
        <v>20103.792046528302</v>
      </c>
      <c r="R16" s="12">
        <f t="shared" si="31"/>
        <v>24878.405807924151</v>
      </c>
      <c r="S16" s="12">
        <f t="shared" si="31"/>
        <v>-127602.20091836977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s="1" customFormat="1" ht="14.55" x14ac:dyDescent="0.35">
      <c r="A17" s="22" t="s">
        <v>29</v>
      </c>
      <c r="B17" s="12"/>
      <c r="C17" s="12">
        <f>C16/C20</f>
        <v>15136.02085308057</v>
      </c>
      <c r="D17" s="12">
        <f t="shared" ref="D17:N17" si="32">D16/D20</f>
        <v>14777.347373149751</v>
      </c>
      <c r="E17" s="12">
        <f t="shared" si="32"/>
        <v>14427.173264781273</v>
      </c>
      <c r="F17" s="12">
        <f t="shared" si="32"/>
        <v>14085.29712106608</v>
      </c>
      <c r="G17" s="12">
        <f t="shared" si="32"/>
        <v>10652.728174714832</v>
      </c>
      <c r="H17" s="12">
        <f t="shared" si="32"/>
        <v>13425.656850240568</v>
      </c>
      <c r="I17" s="12">
        <f t="shared" si="32"/>
        <v>13107.513322983683</v>
      </c>
      <c r="J17" s="12">
        <f t="shared" si="32"/>
        <v>12796.908741870326</v>
      </c>
      <c r="K17" s="12">
        <f t="shared" si="32"/>
        <v>12493.664458887617</v>
      </c>
      <c r="L17" s="12">
        <f t="shared" si="32"/>
        <v>9826.6122127061026</v>
      </c>
      <c r="M17" s="12">
        <f t="shared" si="32"/>
        <v>11908.563261772084</v>
      </c>
      <c r="N17" s="12">
        <f t="shared" si="32"/>
        <v>11626.369819549998</v>
      </c>
      <c r="O17" s="12">
        <f t="shared" ref="O17" si="33">O16/O20</f>
        <v>11350.863425721798</v>
      </c>
      <c r="P17" s="12">
        <f t="shared" ref="P17" si="34">P16/P20</f>
        <v>11081.885619425073</v>
      </c>
      <c r="Q17" s="12">
        <f t="shared" ref="Q17" si="35">Q16/Q20</f>
        <v>9005.1528499523956</v>
      </c>
      <c r="R17" s="12">
        <f t="shared" ref="R17:S17" si="36">R16/R20</f>
        <v>10562.900611979121</v>
      </c>
      <c r="S17" s="12">
        <f t="shared" si="36"/>
        <v>-51353.062871716218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9" spans="1:29" s="6" customFormat="1" ht="14.55" x14ac:dyDescent="0.35">
      <c r="A19" s="21" t="s">
        <v>21</v>
      </c>
      <c r="B19" s="6">
        <f>B1+B2</f>
        <v>5.5E-2</v>
      </c>
      <c r="C19" s="6">
        <f>B19</f>
        <v>5.5E-2</v>
      </c>
      <c r="D19" s="6">
        <f t="shared" ref="D19:L19" si="37">C19</f>
        <v>5.5E-2</v>
      </c>
      <c r="E19" s="6">
        <f t="shared" si="37"/>
        <v>5.5E-2</v>
      </c>
      <c r="F19" s="6">
        <f t="shared" si="37"/>
        <v>5.5E-2</v>
      </c>
      <c r="G19" s="6">
        <f t="shared" si="37"/>
        <v>5.5E-2</v>
      </c>
      <c r="H19" s="6">
        <f t="shared" si="37"/>
        <v>5.5E-2</v>
      </c>
      <c r="I19" s="6">
        <f t="shared" si="37"/>
        <v>5.5E-2</v>
      </c>
      <c r="J19" s="6">
        <f t="shared" si="37"/>
        <v>5.5E-2</v>
      </c>
      <c r="K19" s="6">
        <f t="shared" si="37"/>
        <v>5.5E-2</v>
      </c>
      <c r="L19" s="6">
        <f t="shared" si="37"/>
        <v>5.5E-2</v>
      </c>
      <c r="M19" s="6">
        <f t="shared" ref="M19:N19" si="38">L19</f>
        <v>5.5E-2</v>
      </c>
      <c r="N19" s="6">
        <f t="shared" si="38"/>
        <v>5.5E-2</v>
      </c>
      <c r="O19" s="6">
        <f t="shared" ref="O19:S19" si="39">N19</f>
        <v>5.5E-2</v>
      </c>
      <c r="P19" s="6">
        <f t="shared" si="39"/>
        <v>5.5E-2</v>
      </c>
      <c r="Q19" s="6">
        <f t="shared" si="39"/>
        <v>5.5E-2</v>
      </c>
      <c r="R19" s="6">
        <f t="shared" si="39"/>
        <v>5.5E-2</v>
      </c>
      <c r="S19" s="6">
        <f t="shared" si="39"/>
        <v>5.5E-2</v>
      </c>
    </row>
    <row r="20" spans="1:29" ht="14.55" x14ac:dyDescent="0.35">
      <c r="A20" s="5" t="s">
        <v>30</v>
      </c>
      <c r="C20" s="7">
        <f>(1+C19)</f>
        <v>1.0549999999999999</v>
      </c>
      <c r="D20" s="7">
        <f>C20*(1+D19)</f>
        <v>1.1130249999999999</v>
      </c>
      <c r="E20" s="7">
        <f t="shared" ref="E20:N20" si="40">D20*(1+E19)</f>
        <v>1.1742413749999998</v>
      </c>
      <c r="F20" s="7">
        <f t="shared" si="40"/>
        <v>1.2388246506249998</v>
      </c>
      <c r="G20" s="7">
        <f t="shared" si="40"/>
        <v>1.3069600064093747</v>
      </c>
      <c r="H20" s="7">
        <f t="shared" si="40"/>
        <v>1.3788428067618903</v>
      </c>
      <c r="I20" s="7">
        <f t="shared" si="40"/>
        <v>1.4546791611337941</v>
      </c>
      <c r="J20" s="7">
        <f t="shared" si="40"/>
        <v>1.5346865149961528</v>
      </c>
      <c r="K20" s="7">
        <f t="shared" si="40"/>
        <v>1.6190942733209412</v>
      </c>
      <c r="L20" s="7">
        <f t="shared" si="40"/>
        <v>1.708144458353593</v>
      </c>
      <c r="M20" s="7">
        <f t="shared" si="40"/>
        <v>1.8020924035630406</v>
      </c>
      <c r="N20" s="7">
        <f t="shared" si="40"/>
        <v>1.9012074857590078</v>
      </c>
      <c r="O20" s="7">
        <f t="shared" ref="O20" si="41">N20*(1+O19)</f>
        <v>2.0057738974757533</v>
      </c>
      <c r="P20" s="7">
        <f t="shared" ref="P20" si="42">O20*(1+P19)</f>
        <v>2.1160914618369198</v>
      </c>
      <c r="Q20" s="7">
        <f t="shared" ref="Q20" si="43">P20*(1+Q19)</f>
        <v>2.2324764922379501</v>
      </c>
      <c r="R20" s="7">
        <f t="shared" ref="R20:S20" si="44">Q20*(1+R19)</f>
        <v>2.3552626993110373</v>
      </c>
      <c r="S20" s="7">
        <f t="shared" si="44"/>
        <v>2.4848021477731441</v>
      </c>
      <c r="T20" s="7"/>
      <c r="U20" s="7"/>
      <c r="V20" s="7"/>
      <c r="W20" s="7"/>
      <c r="X20" s="7"/>
      <c r="Y20" s="7"/>
      <c r="Z20" s="7"/>
      <c r="AA20" s="7"/>
      <c r="AB20" s="7"/>
      <c r="AC20" s="7"/>
    </row>
    <row r="22" spans="1:29" x14ac:dyDescent="0.3">
      <c r="A22" s="23" t="s">
        <v>31</v>
      </c>
      <c r="B22" s="8">
        <f>SUM(17:17)</f>
        <v>144911.59509016506</v>
      </c>
    </row>
    <row r="26" spans="1:29" x14ac:dyDescent="0.3">
      <c r="A26" s="39" t="s">
        <v>42</v>
      </c>
      <c r="B26" s="37">
        <v>125000</v>
      </c>
      <c r="C26" t="s">
        <v>0</v>
      </c>
    </row>
    <row r="27" spans="1:29" x14ac:dyDescent="0.3">
      <c r="A27" s="39" t="s">
        <v>43</v>
      </c>
      <c r="B27" s="37">
        <v>30000</v>
      </c>
      <c r="C27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workbookViewId="0">
      <selection activeCell="B6" sqref="B6"/>
    </sheetView>
  </sheetViews>
  <sheetFormatPr defaultRowHeight="14.4" x14ac:dyDescent="0.3"/>
  <sheetData>
    <row r="2" spans="1:8" x14ac:dyDescent="0.35">
      <c r="A2" s="5" t="s">
        <v>45</v>
      </c>
    </row>
    <row r="4" spans="1:8" x14ac:dyDescent="0.35">
      <c r="A4" t="s">
        <v>46</v>
      </c>
      <c r="B4" s="1">
        <v>80000</v>
      </c>
    </row>
    <row r="5" spans="1:8" x14ac:dyDescent="0.35">
      <c r="A5" t="s">
        <v>44</v>
      </c>
      <c r="B5">
        <v>15</v>
      </c>
    </row>
    <row r="6" spans="1:8" x14ac:dyDescent="0.35">
      <c r="A6" t="s">
        <v>47</v>
      </c>
      <c r="B6" s="3">
        <v>-0.05</v>
      </c>
      <c r="G6" t="s">
        <v>48</v>
      </c>
      <c r="H6" t="s">
        <v>50</v>
      </c>
    </row>
    <row r="7" spans="1:8" x14ac:dyDescent="0.35">
      <c r="A7" s="5" t="s">
        <v>49</v>
      </c>
      <c r="B7" s="8">
        <f>B4/EXP(B5*B6)</f>
        <v>169360.00132901399</v>
      </c>
      <c r="H7" t="s">
        <v>51</v>
      </c>
    </row>
    <row r="8" spans="1:8" x14ac:dyDescent="0.35">
      <c r="H8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past DCF</vt:lpstr>
      <vt:lpstr>future DCF</vt:lpstr>
      <vt:lpstr>IPP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2019-05-26T07:44:03Z</dcterms:created>
  <dcterms:modified xsi:type="dcterms:W3CDTF">2019-06-26T08:57:55Z</dcterms:modified>
</cp:coreProperties>
</file>